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2963D99F-C64C-4984-ABAD-6016D933C131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<sst xmlns="http://schemas.openxmlformats.org/spreadsheetml/2006/main" count="286" uniqueCount="201">
  <si>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</si>
  <si>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</si>
  <si>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</si>
  <si>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</si>
  <si>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</si>
  <si>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</si>
  <si>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</si>
  <si>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</si>
  <si>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</si>
  <si>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</si>
  <si>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</si>
  <si>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</si>
  <si>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</si>
  <si>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</si>
  <si>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</si>
  <si>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</si>
  <si>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</si>
  <si>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</si>
  <si>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</si>
  <si>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</si>
  <si>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</si>
  <si>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</si>
  <si>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</si>
  <si>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</si>
  <si>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</si>
  <si>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</si>
  <si>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</si>
  <si>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</si>
  <si>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</si>
  <si>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</si>
  <si>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</si>
  <si>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</si>
  <si>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</si>
  <si>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</si>
  <si>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</si>
  <si>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</si>
  <si>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</si>
  <si>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</si>
  <si>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</si>
  <si>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</si>
  <si>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</si>
  <si>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</si>
  <si>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</si>
  <si>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</si>
  <si>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</si>
  <si>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</si>
  <si>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</si>
  <si>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</si>
  <si>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</si>
  <si>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</si>
  <si>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</si>
  <si>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</si>
  <si>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</si>
  <si>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</si>
  <si>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</si>
  <si>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</si>
  <si>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</si>
  <si>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</si>
  <si>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</si>
  <si>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</si>
  <si>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</si>
  <si>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</si>
  <si>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</si>
  <si>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</si>
  <si>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</si>
  <si>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</si>
  <si>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</si>
  <si>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</si>
  <si>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</si>
  <si>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</si>
  <si>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</si>
  <si>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</si>
  <si>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</si>
  <si>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</si>
  <si>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</si>
  <si>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</si>
  <si>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</si>
  <si>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</si>
  <si>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</si>
  <si>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</si>
  <si>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</si>
  <si>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</si>
  <si>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</si>
  <si>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</si>
  <si>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</si>
  <si>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</si>
  <si>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</si>
  <si>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</si>
  <si>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</si>
  <si>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</si>
  <si>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</si>
  <si>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</si>
  <si>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</si>
  <si>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</si>
  <si>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</si>
  <si>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</si>
  <si>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</si>
  <si>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</si>
  <si>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</si>
  <si>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</si>
  <si>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</si>
  <si>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</si>
  <si>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</si>
  <si>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</si>
  <si>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</si>
  <si>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</si>
  <si>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</si>
  <si>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</si>
  <si>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</si>
  <si>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</si>
  <si>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</si>
  <si>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</si>
  <si>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</si>
  <si>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</si>
  <si>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</si>
  <si>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</si>
  <si>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</si>
  <si>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</si>
  <si>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</si>
  <si>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</si>
  <si>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</si>
  <si>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</si>
  <si>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</si>
  <si>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</si>
  <si>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</si>
  <si>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</si>
  <si>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</si>
  <si>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</si>
  <si>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</si>
  <si>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</si>
  <si>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</si>
  <si>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</si>
  <si>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</si>
  <si>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</si>
  <si>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</si>
  <si>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</si>
  <si>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</si>
  <si>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</si>
  <si>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</si>
  <si>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</si>
  <si>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</si>
  <si>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</si>
  <si>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</si>
  <si>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</si>
  <si>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</si>
  <si>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</si>
  <si>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</si>
  <si>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</si>
  <si>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</si>
  <si>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</si>
  <si>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</si>
  <si>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</si>
  <si>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</si>
  <si>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</si>
  <si>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</si>
  <si>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</si>
  <si>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</si>
  <si>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</si>
  <si>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</si>
  <si>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</si>
  <si>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</si>
  <si>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</si>
  <si>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</si>
  <si>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</si>
  <si>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</si>
  <si>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</si>
  <si>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</si>
  <si>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</si>
  <si>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</si>
  <si>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</si>
  <si>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</si>
  <si>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</si>
  <si>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</si>
  <si>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</si>
  <si>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</si>
  <si>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</si>
  <si>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</si>
  <si>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</si>
  <si>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</si>
  <si>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</si>
  <si>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</si>
  <si>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</si>
  <si>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</si>
  <si>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</si>
  <si>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</si>
  <si>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</si>
  <si>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</si>
  <si>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</si>
  <si>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</si>
  <si>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</si>
  <si>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</si>
  <si>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Vaterstetten</t>
  </si>
  <si>
    <t>Stand: 15.02.2023</t>
  </si>
  <si>
    <t>Die Gemeinde Vaterstetten setzt sich folgende Ziele:</t>
  </si>
  <si>
    <t>Baldham</t>
  </si>
  <si>
    <t>Hergolding</t>
  </si>
  <si>
    <t>Neufarn</t>
  </si>
  <si>
    <t>Parsdorf</t>
  </si>
  <si>
    <t>Purfing</t>
  </si>
  <si>
    <t>Vaterstetten</t>
  </si>
  <si>
    <t>Weißenfeld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</si>
</sst>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127359.5</c:v>
                </c:pt>
                <c:pt idx="1">
                  <c:v>114072.42020322775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98353.93</c:v>
                </c:pt>
                <c:pt idx="1">
                  <c:v>131817.45358890694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4565.5</c:v>
                </c:pt>
                <c:pt idx="1">
                  <c:v>4967.5075639980678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30684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199595</c:v>
                </c:pt>
                <c:pt idx="1">
                  <c:v>250857.38135613277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230279</c:v>
                </c:pt>
                <c:pt idx="1">
                  <c:v>250857.38135613277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32006.3</c:v>
                </c:pt>
                <c:pt idx="1">
                  <c:v>25851.020474269033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39405.440000000002</c:v>
                </c:pt>
                <c:pt idx="1">
                  <c:v>44201.358551567901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1895.59</c:v>
                </c:pt>
                <c:pt idx="1">
                  <c:v>1297.6170334079684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1822.6935483870966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18119</c:v>
                </c:pt>
                <c:pt idx="1">
                  <c:v>18119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60528.759999999995</c:v>
                </c:pt>
                <c:pt idx="1">
                  <c:v>55053.689607631997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78647.759999999995</c:v>
                </c:pt>
                <c:pt idx="1">
                  <c:v>73172.689607631997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11010.737921526399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60205.771525471864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250.857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230.279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9 %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250857.38135613277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250857.38135613277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250857.38135613277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127359.5</v>
      </c>
      <c r="E78" s="177">
        <f>LOOKUP('Basis-Annahmen'!E5,'Nachfrage &amp; Erzeugung'!D36:G36,'Nachfrage &amp; Erzeugung'!D38:G38)</f>
        <v>114072.42020322775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98353.93</v>
      </c>
      <c r="E79" s="177">
        <f>LOOKUP('Basis-Annahmen'!E5,'Nachfrage &amp; Erzeugung'!D36:G36,'Nachfrage &amp; Erzeugung'!D39:G39)</f>
        <v>131817.45358890694</v>
      </c>
      <c r="F79" s="175"/>
      <c r="G79" s="176" t="s">
        <v>55</v>
      </c>
      <c r="H79" s="177">
        <f>'Nachfrage &amp; Erzeugung'!C46</f>
        <v>30684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4565.5</v>
      </c>
      <c r="E80" s="177">
        <f>LOOKUP('Basis-Annahmen'!E5,'Nachfrage &amp; Erzeugung'!D36:G36,'Nachfrage &amp; Erzeugung'!D40:G40)</f>
        <v>4967.5075639980678</v>
      </c>
      <c r="F80" s="175"/>
      <c r="G80" s="176" t="str">
        <f>'Nachfrage &amp; Erzeugung'!B47</f>
        <v>Nicht erneuerbare Wärmeerzeugung</v>
      </c>
      <c r="H80" s="177">
        <f>MAX(0,H82-H79)</f>
        <v>199595</v>
      </c>
      <c r="I80" s="177">
        <f>MAX(0,I82-I79)</f>
        <v>250857.38135613277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230279</v>
      </c>
      <c r="E82" s="177">
        <f>LOOKUP('Basis-Annahmen'!E5,'Nachfrage &amp; Erzeugung'!D36:G36,'Nachfrage &amp; Erzeugung'!D37:G37)</f>
        <v>250857.38135613277</v>
      </c>
      <c r="F82" s="175"/>
      <c r="G82" s="176" t="s">
        <v>82</v>
      </c>
      <c r="H82" s="177">
        <f>'Nachfrage &amp; Erzeugung'!C37</f>
        <v>230279</v>
      </c>
      <c r="I82" s="177">
        <f>LOOKUP('Basis-Annahmen'!E5,'Nachfrage &amp; Erzeugung'!D36:G36,'Nachfrage &amp; Erzeugung'!D37:G37)</f>
        <v>250857.38135613277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8.9362822298745301E-2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73.173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-7 %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2 %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126000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94219.349999999991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273053.592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18119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18119</v>
      </c>
      <c r="G32" s="256"/>
      <c r="H32" s="248">
        <f>SUM(H27:H31)</f>
        <v>493272.94199999998</v>
      </c>
      <c r="I32" s="248"/>
      <c r="J32" s="245">
        <f>IF(H32&gt;0,F32/H32,0)</f>
        <v>3.6732199269912523E-2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32006.3</v>
      </c>
      <c r="E76" s="186">
        <f>LOOKUP('Basis-Annahmen'!E5,'Nachfrage &amp; Erzeugung'!D9:G9,'Nachfrage &amp; Erzeugung'!D11:G11)</f>
        <v>25851.020474269033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39405.440000000002</v>
      </c>
      <c r="E77" s="186">
        <f>LOOKUP('Basis-Annahmen'!E5,'Nachfrage &amp; Erzeugung'!D9:G9,'Nachfrage &amp; Erzeugung'!D12:G12)</f>
        <v>44201.358551567901</v>
      </c>
      <c r="F77" s="175"/>
      <c r="G77" s="176" t="s">
        <v>103</v>
      </c>
      <c r="H77" s="186">
        <f>'Nachfrage &amp; Erzeugung'!C21</f>
        <v>18119</v>
      </c>
      <c r="I77" s="186">
        <f>F31</f>
        <v>18119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1895.59</v>
      </c>
      <c r="E78" s="186">
        <f>LOOKUP('Basis-Annahmen'!E5,'Nachfrage &amp; Erzeugung'!D9:G9,'Nachfrage &amp; Erzeugung'!D13:G13)</f>
        <v>1297.6170334079684</v>
      </c>
      <c r="F78" s="175"/>
      <c r="G78" s="176" t="str">
        <f>'Nachfrage &amp; Erzeugung'!B29</f>
        <v>Nicht aus lokalen EE gedeckter Strombedarf</v>
      </c>
      <c r="H78" s="186">
        <f>'Nachfrage &amp; Erzeugung'!C29</f>
        <v>60528.759999999995</v>
      </c>
      <c r="I78" s="186">
        <f>MAX(0,E82-SUM(I79:I82)-I77)</f>
        <v>55053.689607631997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1822.6935483870966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78647.759999999995</v>
      </c>
      <c r="E82" s="186">
        <f>LOOKUP('Basis-Annahmen'!E5,'Nachfrage &amp; Erzeugung'!D9:G9,'Nachfrage &amp; Erzeugung'!D10:G10)</f>
        <v>73172.689607631997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-6.9615083663768659E-2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2.4909478634184135E-2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27100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55053.689607631997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11010.737921526399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0.40630029230724718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250857.38135613277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60205.771525471864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2.2216151854417663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1.57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71216.509446998258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2.6279154777490135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11010.737921526399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60205.771525471864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0.2805755395683453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0.71942446043165464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24800</v>
      </c>
      <c r="F34" s="69">
        <v>25500</v>
      </c>
      <c r="G34" s="69">
        <v>26100</v>
      </c>
      <c r="H34" s="69">
        <v>26600</v>
      </c>
      <c r="I34" s="70">
        <v>27100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2.8225806451612902E-2</v>
      </c>
      <c r="G36" s="67">
        <f>(G34-F34)/F34</f>
        <v>2.3529411764705882E-2</v>
      </c>
      <c r="H36" s="67">
        <f>(H34-G34)/G34</f>
        <v>1.9157088122605363E-2</v>
      </c>
      <c r="I36" s="68">
        <f>(I34-H34)/H34</f>
        <v>1.8796992481203006E-2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51.862138160703608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2.2419354838709677E-2</v>
      </c>
      <c r="F44" s="73">
        <f>E44*(1+(F13*(F43-E43)))</f>
        <v>2.2419354838709677E-2</v>
      </c>
      <c r="G44" s="73">
        <f t="shared" ref="G44:I44" si="0">F44*(1+(G13*(G43-F43)))</f>
        <v>2.2419354838709677E-2</v>
      </c>
      <c r="H44" s="73">
        <f t="shared" si="0"/>
        <v>2.2419354838709677E-2</v>
      </c>
      <c r="I44" s="190">
        <f t="shared" si="0"/>
        <v>2.2419354838709677E-2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556</v>
      </c>
      <c r="F45" s="36">
        <f>F44*F34</f>
        <v>571.69354838709671</v>
      </c>
      <c r="G45" s="36">
        <f t="shared" ref="G45:I45" si="1">G44*G34</f>
        <v>585.14516129032256</v>
      </c>
      <c r="H45" s="36">
        <f t="shared" si="1"/>
        <v>596.35483870967744</v>
      </c>
      <c r="I45" s="74">
        <f t="shared" si="1"/>
        <v>607.5645161290322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156</v>
      </c>
      <c r="F46" s="36">
        <f>F$45*F$14</f>
        <v>28.584677419354836</v>
      </c>
      <c r="G46" s="36">
        <f>G$45*G$14</f>
        <v>175.54354838709676</v>
      </c>
      <c r="H46" s="36">
        <f>H$45*H$14</f>
        <v>357.81290322580645</v>
      </c>
      <c r="I46" s="74">
        <f>I$45*I$14</f>
        <v>607.5645161290322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400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78647.759999999995</v>
      </c>
      <c r="D10" s="94">
        <f>D11+D12+D13+D14+D15</f>
        <v>70513.469282128062</v>
      </c>
      <c r="E10" s="94">
        <f>E11+E12+E13+E14+D15</f>
        <v>71158.950943226635</v>
      </c>
      <c r="F10" s="94">
        <f>F11+F12+F13+F14+D15</f>
        <v>71972.998323438471</v>
      </c>
      <c r="G10" s="95">
        <f>G11+G12+G13+G14+D15</f>
        <v>73172.689607631997</v>
      </c>
      <c r="H10" s="14"/>
    </row>
    <row r="11" spans="1:8" ht="19.5" customHeight="1" x14ac:dyDescent="0.2">
      <c r="B11" s="88" t="s">
        <v>6</v>
      </c>
      <c r="C11" s="96">
        <v>32006.3</v>
      </c>
      <c r="D11" s="97">
        <f>C11/'Basis-Annahmen'!E34*((1-'Basis-Annahmen'!F19)^(D9-C9))*'Basis-Annahmen'!F34</f>
        <v>30514.420292800605</v>
      </c>
      <c r="E11" s="97">
        <f>D11/'Basis-Annahmen'!F34*((1-'Basis-Annahmen'!G19)^5)*'Basis-Annahmen'!G34</f>
        <v>28959.202856913587</v>
      </c>
      <c r="F11" s="97">
        <f>E11/'Basis-Annahmen'!G34*((1-'Basis-Annahmen'!H19)^5)*'Basis-Annahmen'!H34</f>
        <v>27365.846393178363</v>
      </c>
      <c r="G11" s="98">
        <f>F11/'Basis-Annahmen'!H34*((1-'Basis-Annahmen'!I19)^5)*'Basis-Annahmen'!I34</f>
        <v>25851.020474269033</v>
      </c>
      <c r="H11" s="14"/>
    </row>
    <row r="12" spans="1:8" ht="19.5" customHeight="1" x14ac:dyDescent="0.2">
      <c r="B12" s="88" t="s">
        <v>104</v>
      </c>
      <c r="C12" s="96">
        <v>39405.440000000002</v>
      </c>
      <c r="D12" s="97">
        <f>((1-'Basis-Annahmen'!F20)^(D9-C9))*((1+'Basis-Annahmen'!F9)^(D9-C9))*C12</f>
        <v>38285.487325292728</v>
      </c>
      <c r="E12" s="97">
        <f>((1-'Basis-Annahmen'!G20)^5)*((1+'Basis-Annahmen'!G9)^5)*D12</f>
        <v>40163.787342291726</v>
      </c>
      <c r="F12" s="97">
        <f>((1-'Basis-Annahmen'!H20)^5)*((1+'Basis-Annahmen'!H9)^5)*E12</f>
        <v>42134.237445402534</v>
      </c>
      <c r="G12" s="98">
        <f>((1-'Basis-Annahmen'!I20)^5)*((1+'Basis-Annahmen'!I9)^5)*F12</f>
        <v>44201.358551567901</v>
      </c>
      <c r="H12" s="14"/>
    </row>
    <row r="13" spans="1:8" ht="19.5" customHeight="1" x14ac:dyDescent="0.2">
      <c r="B13" s="88" t="s">
        <v>7</v>
      </c>
      <c r="C13" s="96">
        <v>1895.59</v>
      </c>
      <c r="D13" s="97">
        <f>C13*((1-'Basis-Annahmen'!F20)^(D9-C9))</f>
        <v>1627.8076317766627</v>
      </c>
      <c r="E13" s="97">
        <f>D13*((1-'Basis-Annahmen'!G20)^5)</f>
        <v>1509.3300988600283</v>
      </c>
      <c r="F13" s="97">
        <f>E13*((1-'Basis-Annahmen'!H20)^5)</f>
        <v>1399.4757751801585</v>
      </c>
      <c r="G13" s="98">
        <f>F13*((1-'Basis-Annahmen'!I20)^5)</f>
        <v>1297.6170334079684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85.754032258064512</v>
      </c>
      <c r="E14" s="97">
        <f>'Basis-Annahmen'!G46*'Basis-Annahmen'!G51+'Basis-Annahmen'!G47*'Basis-Annahmen'!G52</f>
        <v>526.63064516129032</v>
      </c>
      <c r="F14" s="97">
        <f>'Basis-Annahmen'!H46*'Basis-Annahmen'!H51+'Basis-Annahmen'!H47*'Basis-Annahmen'!H52</f>
        <v>1073.4387096774194</v>
      </c>
      <c r="G14" s="98">
        <f>'Basis-Annahmen'!I46*'Basis-Annahmen'!I51+'Basis-Annahmen'!I47*'Basis-Annahmen'!I52</f>
        <v>1822.6935483870966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-0.10342685815682395</v>
      </c>
      <c r="E16" s="101">
        <f>(E10-$C$10)/$C$10</f>
        <v>-9.5219610282268177E-2</v>
      </c>
      <c r="F16" s="101">
        <f t="shared" ref="F16" si="0">(F10-$C$10)/$C$10</f>
        <v>-8.4869062724247005E-2</v>
      </c>
      <c r="G16" s="102">
        <f>(G10-$C$10)/$C$10</f>
        <v>-6.9615083663768659E-2</v>
      </c>
      <c r="H16" s="14"/>
    </row>
    <row r="17" spans="1:10" ht="19.5" customHeight="1" x14ac:dyDescent="0.2">
      <c r="B17" s="89" t="s">
        <v>97</v>
      </c>
      <c r="C17" s="107"/>
      <c r="D17" s="104">
        <f>D14/D10</f>
        <v>1.2161369044963333E-3</v>
      </c>
      <c r="E17" s="104">
        <f>E14/E10</f>
        <v>7.4007646006678295E-3</v>
      </c>
      <c r="F17" s="104">
        <f>F14/F10</f>
        <v>1.491446423912351E-2</v>
      </c>
      <c r="G17" s="105">
        <f>G14/G10</f>
        <v>2.4909478634184135E-2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18119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10698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7421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60528.759999999995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230279</v>
      </c>
      <c r="D37" s="94">
        <f>SUM(D38:D40)</f>
        <v>235548.81864247893</v>
      </c>
      <c r="E37" s="94">
        <f>SUM(E38:E40)</f>
        <v>240435.00431766332</v>
      </c>
      <c r="F37" s="94">
        <f t="shared" ref="F37:G37" si="1">SUM(F38:F40)</f>
        <v>245317.76070204796</v>
      </c>
      <c r="G37" s="95">
        <f t="shared" si="1"/>
        <v>250857.38135613277</v>
      </c>
      <c r="H37" s="14"/>
    </row>
    <row r="38" spans="1:8" ht="19.5" customHeight="1" x14ac:dyDescent="0.2">
      <c r="A38" s="14"/>
      <c r="B38" s="113" t="s">
        <v>6</v>
      </c>
      <c r="C38" s="96">
        <v>127359.5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125036.07621040048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121779.13393390831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117925.77706856803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114072.42020322775</v>
      </c>
      <c r="H38" s="14"/>
    </row>
    <row r="39" spans="1:8" ht="19.5" customHeight="1" x14ac:dyDescent="0.2">
      <c r="A39" s="14"/>
      <c r="B39" s="113" t="s">
        <v>104</v>
      </c>
      <c r="C39" s="96">
        <v>98353.93</v>
      </c>
      <c r="D39" s="97">
        <f>C39*((1-'Basis-Annahmen'!F$24)^(D36-C36))*((1+'Basis-Annahmen'!F$9)^(D36-C36))</f>
        <v>105824.69317599082</v>
      </c>
      <c r="E39" s="97">
        <f>((1-'Basis-Annahmen'!G$24)^5)*((1+'Basis-Annahmen'!G$9)^5)*'Nachfrage &amp; Erzeugung'!D39</f>
        <v>113862.92022893846</v>
      </c>
      <c r="F39" s="97">
        <f>((1-'Basis-Annahmen'!H$24)^5)*((1+'Basis-Annahmen'!H$9)^5)*'Nachfrage &amp; Erzeugung'!E39</f>
        <v>122511.71455324387</v>
      </c>
      <c r="G39" s="98">
        <f>((1-'Basis-Annahmen'!I$24)^5)*((1+'Basis-Annahmen'!I$9)^5)*'Nachfrage &amp; Erzeugung'!F39</f>
        <v>131817.45358890694</v>
      </c>
      <c r="H39" s="14"/>
    </row>
    <row r="40" spans="1:8" ht="19.5" customHeight="1" x14ac:dyDescent="0.2">
      <c r="A40" s="14"/>
      <c r="B40" s="113" t="s">
        <v>7</v>
      </c>
      <c r="C40" s="96">
        <v>4565.5</v>
      </c>
      <c r="D40" s="97">
        <f>C40+(C40*'Basis-Annahmen'!F36)*((1-'Basis-Annahmen'!F24)^(D36-C36))</f>
        <v>4688.0492560876173</v>
      </c>
      <c r="E40" s="97">
        <f>D40+(D40*'Basis-Annahmen'!G36)*((1-'Basis-Annahmen'!G24)^5)</f>
        <v>4792.9501548165681</v>
      </c>
      <c r="F40" s="97">
        <f>E40+(E40*'Basis-Annahmen'!H36)*((1-'Basis-Annahmen'!H24)^5)</f>
        <v>4880.2690802360548</v>
      </c>
      <c r="G40" s="98">
        <f>F40+(F40*'Basis-Annahmen'!I36)*((1-'Basis-Annahmen'!I24)^5)</f>
        <v>4967.5075639980678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2.2884495079789867E-2</v>
      </c>
      <c r="E42" s="104">
        <f>(E37-$C$37)/$C$37</f>
        <v>4.4103041604589735E-2</v>
      </c>
      <c r="F42" s="104">
        <f>(F37-$C$37)/$C$37</f>
        <v>6.5306696233907405E-2</v>
      </c>
      <c r="G42" s="105">
        <f>(G37-$C$37)/$C$37</f>
        <v>8.9362822298745301E-2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30684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199595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0.27769498017159239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2.2187708476162683E-2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4.5878983182863063E-2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0.17327232358831526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2.1732058375361699E-2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0.42910046784793843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 t="s">
        <v>200</v>
      </c>
      <c r="C58" s="167">
        <v>3.0133478357766461E-2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126000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14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94219.349999999991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628129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273053.592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379.24110000000002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